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c-22\Desktop\"/>
    </mc:Choice>
  </mc:AlternateContent>
  <xr:revisionPtr revIDLastSave="0" documentId="8_{E6ECA307-A6EE-42AC-8AD5-4C7564D064C6}" xr6:coauthVersionLast="47" xr6:coauthVersionMax="47" xr10:uidLastSave="{00000000-0000-0000-0000-000000000000}"/>
  <bookViews>
    <workbookView showHorizontalScroll="0" showVerticalScroll="0" xWindow="-120" yWindow="-120" windowWidth="20730" windowHeight="11160" xr2:uid="{00000000-000D-0000-FFFF-FFFF00000000}"/>
  </bookViews>
  <sheets>
    <sheet name="Simulação Cálculo INSS e IRRF" sheetId="1" r:id="rId1"/>
  </sheets>
  <definedNames>
    <definedName name="_xlnm.Print_Area" localSheetId="0">'Simulação Cálculo INSS e IRRF'!$A$1:$N$34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l="1"/>
  <c r="I14" i="1" l="1"/>
  <c r="J21" i="1"/>
  <c r="F7" i="1"/>
  <c r="H31" i="1"/>
  <c r="F23" i="1"/>
  <c r="H23" i="1"/>
  <c r="L23" i="1" s="1"/>
  <c r="H17" i="1"/>
  <c r="Z14" i="1" l="1"/>
  <c r="H25" i="1"/>
  <c r="X13" i="1" l="1"/>
  <c r="X12" i="1"/>
  <c r="X11" i="1"/>
  <c r="J14" i="1" l="1"/>
  <c r="T14" i="1" l="1"/>
  <c r="H13" i="1" s="1"/>
  <c r="T13" i="1"/>
  <c r="H12" i="1" s="1"/>
  <c r="C13" i="1"/>
  <c r="T12" i="1"/>
  <c r="H11" i="1" s="1"/>
  <c r="C12" i="1"/>
  <c r="T11" i="1"/>
  <c r="H10" i="1" s="1"/>
  <c r="S11" i="1"/>
  <c r="S12" i="1" s="1"/>
  <c r="C11" i="1"/>
  <c r="R11" i="1" l="1"/>
  <c r="U11" i="1" s="1"/>
  <c r="S13" i="1"/>
  <c r="J10" i="1" l="1"/>
  <c r="I10" i="1" s="1"/>
  <c r="R12" i="1"/>
  <c r="U12" i="1" s="1"/>
  <c r="S14" i="1"/>
  <c r="R13" i="1" l="1"/>
  <c r="U13" i="1" s="1"/>
  <c r="J11" i="1"/>
  <c r="G10" i="1"/>
  <c r="R14" i="1" l="1"/>
  <c r="U14" i="1" s="1"/>
  <c r="J13" i="1" s="1"/>
  <c r="I13" i="1" s="1"/>
  <c r="G11" i="1"/>
  <c r="I11" i="1"/>
  <c r="S15" i="1" l="1"/>
  <c r="G13" i="1" s="1"/>
  <c r="U15" i="1"/>
  <c r="J12" i="1"/>
  <c r="G12" i="1" l="1"/>
  <c r="I12" i="1"/>
  <c r="K10" i="1"/>
  <c r="H24" i="1" s="1"/>
  <c r="L25" i="1" s="1"/>
  <c r="H28" i="1" l="1"/>
  <c r="J32" i="1" s="1"/>
  <c r="L6" i="1"/>
  <c r="K25" i="1" s="1"/>
  <c r="Z7" i="1" l="1"/>
  <c r="AC14" i="1" s="1"/>
  <c r="AA7" i="1" l="1"/>
  <c r="AC10" i="1"/>
  <c r="AC13" i="1"/>
  <c r="AC11" i="1"/>
  <c r="AC12" i="1"/>
  <c r="G29" i="1" l="1"/>
  <c r="K26" i="1" s="1"/>
  <c r="AD10" i="1"/>
  <c r="H29" i="1" s="1"/>
  <c r="J31" i="1" s="1"/>
  <c r="L26" i="1" l="1"/>
  <c r="L29" i="1" s="1"/>
  <c r="AD6" i="1"/>
  <c r="D31" i="1"/>
</calcChain>
</file>

<file path=xl/sharedStrings.xml><?xml version="1.0" encoding="utf-8"?>
<sst xmlns="http://schemas.openxmlformats.org/spreadsheetml/2006/main" count="70" uniqueCount="57">
  <si>
    <t>Salário de Contribuição</t>
  </si>
  <si>
    <t>Alíquota</t>
  </si>
  <si>
    <t>Remuneração por Faixa</t>
  </si>
  <si>
    <t>INSS Calculos</t>
  </si>
  <si>
    <t>Cálculo 2</t>
  </si>
  <si>
    <t>Cálculo 1</t>
  </si>
  <si>
    <t>até</t>
  </si>
  <si>
    <t>@fagnercaguiar</t>
  </si>
  <si>
    <t>Limite Teto</t>
  </si>
  <si>
    <t>http://praticasdepessoal.com.br/</t>
  </si>
  <si>
    <t>de</t>
  </si>
  <si>
    <t>Arredondar Cálculo 2</t>
  </si>
  <si>
    <t>Limite de Contribuição:</t>
  </si>
  <si>
    <t>Valor para Simulação</t>
  </si>
  <si>
    <t>Alíquota de Contribuição Efetiva:</t>
  </si>
  <si>
    <t>Segurados Empregado, Empregado Doméstico e Trabalhador Avulso</t>
  </si>
  <si>
    <t>Até um salário mínimo:</t>
  </si>
  <si>
    <t>Faixa =&gt; Salário de Contribuição =&gt; Valor INSS</t>
  </si>
  <si>
    <t>SALÁRIO DE CONTRIBUIÇÃO DO INSS</t>
  </si>
  <si>
    <t>( - ) Quantidade de Dependentes X R$ 189,59</t>
  </si>
  <si>
    <t>CÁLCULO DO IRRF</t>
  </si>
  <si>
    <t>Base de Cálculo</t>
  </si>
  <si>
    <t>Limite de Isenção:</t>
  </si>
  <si>
    <t>A partir de:</t>
  </si>
  <si>
    <r>
      <rPr>
        <i/>
        <u/>
        <sz val="9.5"/>
        <rFont val="Calibri"/>
        <family val="2"/>
        <scheme val="minor"/>
      </rPr>
      <t xml:space="preserve">Blog </t>
    </r>
    <r>
      <rPr>
        <u/>
        <sz val="10"/>
        <color theme="8" tint="-0.499984740745262"/>
        <rFont val="Calibri"/>
        <family val="2"/>
        <scheme val="minor"/>
      </rPr>
      <t>Práticas de Pessoal</t>
    </r>
  </si>
  <si>
    <t>Dedução</t>
  </si>
  <si>
    <t>Valor</t>
  </si>
  <si>
    <t>IRRF Devido</t>
  </si>
  <si>
    <t>Tabela IRRF</t>
  </si>
  <si>
    <t>Limite Isenção</t>
  </si>
  <si>
    <t>INFORMAÇÕES PARA SIMULAÇÃO DE CÁLCULO DO IRRF</t>
  </si>
  <si>
    <t>( - ) INSS descontado do contribuinte conforme simulação</t>
  </si>
  <si>
    <t>Versão da Planilha: fca.11.01.2023</t>
  </si>
  <si>
    <t>PLANILHA PARA SIMULAÇÃO DE CÁLCULO DO INSS E IRRF 2023</t>
  </si>
  <si>
    <t>TABELA PROGRESSIVA COM VIGÊNCIA A PARTIR DE 1º DE JANEIRO DE 2023</t>
  </si>
  <si>
    <t>VALOR LÍQUIDO</t>
  </si>
  <si>
    <t>Desconto 1</t>
  </si>
  <si>
    <t xml:space="preserve"> </t>
  </si>
  <si>
    <t>Desconto 2</t>
  </si>
  <si>
    <t xml:space="preserve">SIMULAÇÃO DE CÁLCULO DO IMPOSTO DE RENDA RETIDO NA FONTE </t>
  </si>
  <si>
    <t>ALÍQUOTA DE 11% NA CONTRATAÇÃO DE CONTRIBUINTE INDIVIDUAL (AUTÔNOMO)</t>
  </si>
  <si>
    <t>VALOR DOS SERVIÇOS</t>
  </si>
  <si>
    <t>CÁLCULO DO VALOR LÍQUIDO A RECEBER</t>
  </si>
  <si>
    <t>( - ) I.R.R.F. = = = = &gt;</t>
  </si>
  <si>
    <t>( - ) I.N.S.S. = = = = &gt;</t>
  </si>
  <si>
    <t>( - ) Parcela da remuneração não tributada pelo IRRF</t>
  </si>
  <si>
    <t>( - ) Outras deduções na base de cálculo do IRRF</t>
  </si>
  <si>
    <t>( = ) Base de cálculo do IRRF para cálculo pela tabela</t>
  </si>
  <si>
    <t>Alíquota Efetiva IRRF</t>
  </si>
  <si>
    <t>Limite da Isenção</t>
  </si>
  <si>
    <t>Valor da Remuneração</t>
  </si>
  <si>
    <t>Valor do rendimento bruto para cálculo do I.R.R.F.</t>
  </si>
  <si>
    <t>Valor do Imposto de Renda Retido na Fonte (IRRF) | Alíquota = = &gt;</t>
  </si>
  <si>
    <t>INSS DEVIDO</t>
  </si>
  <si>
    <t>Fonte: PORTARIA INTERMINISTERIAL MPS/MF Nº 26, DE 10/01/2023</t>
  </si>
  <si>
    <r>
      <t xml:space="preserve">Autor: </t>
    </r>
    <r>
      <rPr>
        <b/>
        <sz val="7.5"/>
        <color theme="1" tint="0.14999847407452621"/>
        <rFont val="Arial"/>
        <family val="2"/>
      </rPr>
      <t>Fagner C. Aguiar</t>
    </r>
    <r>
      <rPr>
        <sz val="7.5"/>
        <color theme="1" tint="0.14999847407452621"/>
        <rFont val="Arial"/>
        <family val="2"/>
      </rPr>
      <t xml:space="preserve"> | Planilha elaborada pelo professor para simulação de cálculo nos cursos e treinamentos ministrados.</t>
    </r>
  </si>
  <si>
    <t>Verbas indenizatórias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</si>
</sst>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%"/>
    <numFmt numFmtId="166" formatCode="_-&quot;R$&quot;\ * #,##0.000_-;\-&quot;R$&quot;\ * #,##0.000_-;_-&quot;R$&quot;\ * &quot;-&quot;??_-;_-@_-"/>
    <numFmt numFmtId="167" formatCode="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u/>
      <sz val="10"/>
      <color rgb="FF00206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i/>
      <sz val="8"/>
      <color rgb="FF00206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8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sz val="7"/>
      <color theme="1" tint="0.14999847407452621"/>
      <name val="Arial"/>
      <family val="2"/>
    </font>
    <font>
      <sz val="9"/>
      <color rgb="FF002060"/>
      <name val="Calibri"/>
      <family val="2"/>
      <scheme val="minor"/>
    </font>
    <font>
      <sz val="9"/>
      <color rgb="FF001746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 tint="0.14999847407452621"/>
      <name val="Arial"/>
      <family val="2"/>
    </font>
    <font>
      <u/>
      <sz val="9"/>
      <color theme="10"/>
      <name val="Calibri"/>
      <family val="2"/>
      <scheme val="minor"/>
    </font>
    <font>
      <u/>
      <sz val="9.5"/>
      <color theme="8" tint="-0.499984740745262"/>
      <name val="Calibri"/>
      <family val="2"/>
      <scheme val="minor"/>
    </font>
    <font>
      <u/>
      <sz val="10"/>
      <color theme="8" tint="-0.499984740745262"/>
      <name val="Calibri"/>
      <family val="2"/>
      <scheme val="minor"/>
    </font>
    <font>
      <i/>
      <u/>
      <sz val="9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rgb="FF960000"/>
      <name val="Calibri"/>
      <family val="2"/>
      <scheme val="minor"/>
    </font>
    <font>
      <sz val="7.5"/>
      <color theme="1" tint="0.14999847407452621"/>
      <name val="Arial"/>
      <family val="2"/>
    </font>
    <font>
      <b/>
      <sz val="7.5"/>
      <color theme="1" tint="0.14999847407452621"/>
      <name val="Arial"/>
      <family val="2"/>
    </font>
    <font>
      <b/>
      <sz val="10"/>
      <color rgb="FF960000"/>
      <name val="Calibri"/>
      <family val="2"/>
      <scheme val="minor"/>
    </font>
    <font>
      <sz val="6.5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960000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8"/>
      <color rgb="FF00174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8"/>
      <color rgb="FF96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6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5">
    <xf numFmtId="0" fontId="0" fillId="0" borderId="0" xfId="0"/>
    <xf numFmtId="0" fontId="3" fillId="0" borderId="0" xfId="2" applyFont="1" applyFill="1" applyAlignment="1" applyProtection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center" vertical="center"/>
    </xf>
    <xf numFmtId="44" fontId="11" fillId="0" borderId="5" xfId="0" applyNumberFormat="1" applyFont="1" applyBorder="1" applyAlignment="1">
      <alignment horizontal="center" vertical="center"/>
    </xf>
    <xf numFmtId="44" fontId="0" fillId="0" borderId="0" xfId="0" applyNumberForma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/>
    <xf numFmtId="166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5" xfId="0" applyFont="1" applyBorder="1"/>
    <xf numFmtId="4" fontId="16" fillId="0" borderId="5" xfId="0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10" fontId="19" fillId="0" borderId="0" xfId="1" applyNumberFormat="1" applyFont="1" applyFill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2" quotePrefix="1" applyFont="1" applyFill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3" fillId="0" borderId="0" xfId="0" applyFont="1"/>
    <xf numFmtId="0" fontId="14" fillId="3" borderId="1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25" fillId="0" borderId="0" xfId="2" applyFont="1" applyFill="1" applyAlignment="1" applyProtection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4" fontId="27" fillId="4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4" fontId="11" fillId="3" borderId="6" xfId="0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 applyProtection="1">
      <alignment horizontal="center" vertical="center"/>
    </xf>
    <xf numFmtId="44" fontId="11" fillId="0" borderId="11" xfId="0" applyNumberFormat="1" applyFont="1" applyBorder="1" applyAlignment="1">
      <alignment horizontal="center" vertical="center"/>
    </xf>
    <xf numFmtId="44" fontId="11" fillId="3" borderId="3" xfId="0" applyNumberFormat="1" applyFont="1" applyFill="1" applyBorder="1" applyAlignment="1">
      <alignment horizontal="center" vertical="center"/>
    </xf>
    <xf numFmtId="44" fontId="11" fillId="3" borderId="4" xfId="0" applyNumberFormat="1" applyFont="1" applyFill="1" applyBorder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44" fontId="11" fillId="3" borderId="0" xfId="0" applyNumberFormat="1" applyFont="1" applyFill="1" applyAlignment="1">
      <alignment horizontal="center" vertical="center"/>
    </xf>
    <xf numFmtId="44" fontId="11" fillId="3" borderId="14" xfId="0" applyNumberFormat="1" applyFont="1" applyFill="1" applyBorder="1" applyAlignment="1">
      <alignment horizontal="center" vertical="center"/>
    </xf>
    <xf numFmtId="44" fontId="11" fillId="0" borderId="9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64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15" fillId="2" borderId="12" xfId="0" applyFont="1" applyFill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26" fillId="0" borderId="0" xfId="0" applyFont="1"/>
    <xf numFmtId="0" fontId="15" fillId="2" borderId="5" xfId="0" applyFont="1" applyFill="1" applyBorder="1" applyAlignment="1">
      <alignment horizontal="center" vertical="center"/>
    </xf>
    <xf numFmtId="44" fontId="1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center"/>
    </xf>
    <xf numFmtId="44" fontId="50" fillId="3" borderId="6" xfId="0" applyNumberFormat="1" applyFont="1" applyFill="1" applyBorder="1" applyAlignment="1">
      <alignment horizontal="center" vertical="center"/>
    </xf>
    <xf numFmtId="165" fontId="50" fillId="3" borderId="3" xfId="1" applyNumberFormat="1" applyFont="1" applyFill="1" applyBorder="1" applyAlignment="1" applyProtection="1">
      <alignment horizontal="center" vertical="center"/>
    </xf>
    <xf numFmtId="44" fontId="50" fillId="0" borderId="11" xfId="0" applyNumberFormat="1" applyFont="1" applyBorder="1" applyAlignment="1">
      <alignment horizontal="center" vertical="center"/>
    </xf>
    <xf numFmtId="4" fontId="50" fillId="0" borderId="11" xfId="0" quotePrefix="1" applyNumberFormat="1" applyFont="1" applyBorder="1" applyAlignment="1">
      <alignment horizontal="center" vertical="center"/>
    </xf>
    <xf numFmtId="44" fontId="50" fillId="0" borderId="6" xfId="0" applyNumberFormat="1" applyFont="1" applyBorder="1" applyAlignment="1">
      <alignment horizontal="center" vertical="center"/>
    </xf>
    <xf numFmtId="0" fontId="49" fillId="3" borderId="2" xfId="0" applyFont="1" applyFill="1" applyBorder="1" applyAlignment="1">
      <alignment horizontal="right" vertical="center"/>
    </xf>
    <xf numFmtId="44" fontId="50" fillId="3" borderId="3" xfId="0" applyNumberFormat="1" applyFont="1" applyFill="1" applyBorder="1" applyAlignment="1">
      <alignment horizontal="center" vertical="center"/>
    </xf>
    <xf numFmtId="44" fontId="50" fillId="3" borderId="4" xfId="0" applyNumberFormat="1" applyFont="1" applyFill="1" applyBorder="1" applyAlignment="1">
      <alignment horizontal="center" vertical="center"/>
    </xf>
    <xf numFmtId="9" fontId="50" fillId="3" borderId="3" xfId="1" applyFont="1" applyFill="1" applyBorder="1" applyAlignment="1" applyProtection="1">
      <alignment horizontal="center" vertical="center"/>
    </xf>
    <xf numFmtId="44" fontId="50" fillId="0" borderId="0" xfId="0" applyNumberFormat="1" applyFont="1" applyAlignment="1">
      <alignment horizontal="center" vertical="center"/>
    </xf>
    <xf numFmtId="4" fontId="50" fillId="0" borderId="0" xfId="0" quotePrefix="1" applyNumberFormat="1" applyFont="1" applyAlignment="1">
      <alignment horizontal="center" vertical="center"/>
    </xf>
    <xf numFmtId="44" fontId="50" fillId="0" borderId="14" xfId="0" applyNumberFormat="1" applyFont="1" applyBorder="1" applyAlignment="1">
      <alignment horizontal="center" vertical="center"/>
    </xf>
    <xf numFmtId="0" fontId="49" fillId="3" borderId="8" xfId="0" applyFont="1" applyFill="1" applyBorder="1" applyAlignment="1">
      <alignment horizontal="right" vertical="center"/>
    </xf>
    <xf numFmtId="44" fontId="50" fillId="3" borderId="9" xfId="0" applyNumberFormat="1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44" fontId="50" fillId="3" borderId="10" xfId="0" applyNumberFormat="1" applyFont="1" applyFill="1" applyBorder="1" applyAlignment="1">
      <alignment horizontal="center" vertical="center"/>
    </xf>
    <xf numFmtId="44" fontId="50" fillId="0" borderId="9" xfId="0" applyNumberFormat="1" applyFont="1" applyBorder="1" applyAlignment="1">
      <alignment horizontal="center" vertical="center"/>
    </xf>
    <xf numFmtId="4" fontId="50" fillId="0" borderId="9" xfId="0" quotePrefix="1" applyNumberFormat="1" applyFont="1" applyBorder="1" applyAlignment="1">
      <alignment horizontal="center" vertical="center"/>
    </xf>
    <xf numFmtId="44" fontId="50" fillId="0" borderId="10" xfId="0" applyNumberFormat="1" applyFont="1" applyBorder="1" applyAlignment="1">
      <alignment horizontal="center" vertical="center"/>
    </xf>
    <xf numFmtId="165" fontId="11" fillId="0" borderId="0" xfId="1" applyNumberFormat="1" applyFont="1" applyFill="1" applyBorder="1" applyAlignment="1" applyProtection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48" fillId="5" borderId="5" xfId="0" applyNumberFormat="1" applyFont="1" applyFill="1" applyBorder="1" applyAlignment="1">
      <alignment horizontal="center" vertical="center"/>
    </xf>
    <xf numFmtId="44" fontId="48" fillId="0" borderId="5" xfId="0" applyNumberFormat="1" applyFont="1" applyBorder="1" applyAlignment="1">
      <alignment horizontal="right" vertical="center"/>
    </xf>
    <xf numFmtId="44" fontId="50" fillId="0" borderId="4" xfId="0" applyNumberFormat="1" applyFont="1" applyBorder="1" applyAlignment="1">
      <alignment horizontal="right" vertical="center"/>
    </xf>
    <xf numFmtId="44" fontId="50" fillId="0" borderId="6" xfId="0" applyNumberFormat="1" applyFont="1" applyBorder="1" applyAlignment="1">
      <alignment horizontal="right" vertical="center"/>
    </xf>
    <xf numFmtId="44" fontId="50" fillId="0" borderId="7" xfId="0" applyNumberFormat="1" applyFont="1" applyBorder="1" applyAlignment="1">
      <alignment horizontal="right" vertical="center"/>
    </xf>
    <xf numFmtId="165" fontId="27" fillId="0" borderId="4" xfId="1" applyNumberFormat="1" applyFont="1" applyFill="1" applyBorder="1" applyAlignment="1" applyProtection="1">
      <alignment horizontal="center" vertical="center"/>
    </xf>
    <xf numFmtId="10" fontId="55" fillId="0" borderId="6" xfId="1" applyNumberFormat="1" applyFont="1" applyFill="1" applyBorder="1" applyAlignment="1" applyProtection="1">
      <alignment horizontal="left" vertical="center"/>
    </xf>
    <xf numFmtId="165" fontId="55" fillId="0" borderId="4" xfId="1" applyNumberFormat="1" applyFont="1" applyFill="1" applyBorder="1" applyAlignment="1" applyProtection="1">
      <alignment horizontal="left" vertical="center"/>
    </xf>
    <xf numFmtId="44" fontId="38" fillId="7" borderId="4" xfId="0" applyNumberFormat="1" applyFont="1" applyFill="1" applyBorder="1" applyAlignment="1">
      <alignment horizontal="right" vertical="center"/>
    </xf>
    <xf numFmtId="10" fontId="23" fillId="0" borderId="4" xfId="1" applyNumberFormat="1" applyFont="1" applyFill="1" applyBorder="1" applyAlignment="1" applyProtection="1">
      <alignment horizontal="center" vertical="center"/>
    </xf>
    <xf numFmtId="44" fontId="11" fillId="3" borderId="4" xfId="0" applyNumberFormat="1" applyFont="1" applyFill="1" applyBorder="1" applyAlignment="1">
      <alignment horizontal="left" vertical="center"/>
    </xf>
    <xf numFmtId="0" fontId="50" fillId="0" borderId="1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32" fillId="0" borderId="0" xfId="2" applyFont="1" applyFill="1" applyAlignment="1" applyProtection="1">
      <alignment vertical="center"/>
    </xf>
    <xf numFmtId="0" fontId="23" fillId="0" borderId="0" xfId="2" applyFont="1" applyFill="1" applyAlignment="1" applyProtection="1">
      <alignment horizontal="center" vertical="center"/>
    </xf>
    <xf numFmtId="0" fontId="55" fillId="4" borderId="5" xfId="0" applyFont="1" applyFill="1" applyBorder="1" applyAlignment="1">
      <alignment horizontal="center"/>
    </xf>
    <xf numFmtId="0" fontId="36" fillId="0" borderId="0" xfId="0" applyFont="1"/>
    <xf numFmtId="0" fontId="41" fillId="0" borderId="0" xfId="0" applyFont="1" applyAlignment="1">
      <alignment horizontal="left" vertical="center"/>
    </xf>
    <xf numFmtId="0" fontId="27" fillId="4" borderId="2" xfId="0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/>
    </xf>
    <xf numFmtId="164" fontId="47" fillId="8" borderId="5" xfId="0" applyNumberFormat="1" applyFont="1" applyFill="1" applyBorder="1" applyAlignment="1" applyProtection="1">
      <alignment horizontal="right" vertical="center"/>
      <protection locked="0"/>
    </xf>
    <xf numFmtId="167" fontId="47" fillId="8" borderId="5" xfId="0" applyNumberFormat="1" applyFont="1" applyFill="1" applyBorder="1" applyAlignment="1" applyProtection="1">
      <alignment horizontal="center" vertical="center"/>
      <protection locked="0"/>
    </xf>
    <xf numFmtId="44" fontId="47" fillId="8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0" fontId="3" fillId="0" borderId="11" xfId="2" applyFont="1" applyFill="1" applyBorder="1" applyAlignment="1" applyProtection="1">
      <alignment horizontal="left"/>
    </xf>
    <xf numFmtId="0" fontId="0" fillId="0" borderId="11" xfId="0" applyBorder="1"/>
    <xf numFmtId="0" fontId="13" fillId="0" borderId="11" xfId="2" applyFont="1" applyBorder="1" applyAlignment="1">
      <alignment vertical="center"/>
    </xf>
    <xf numFmtId="0" fontId="0" fillId="0" borderId="6" xfId="0" applyBorder="1"/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0" fontId="40" fillId="0" borderId="0" xfId="1" applyNumberFormat="1" applyFont="1" applyFill="1" applyBorder="1" applyAlignment="1" applyProtection="1">
      <alignment horizontal="left" vertical="center"/>
    </xf>
    <xf numFmtId="0" fontId="5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164" fontId="45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164" fontId="51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57" fillId="0" borderId="0" xfId="0" applyFont="1"/>
    <xf numFmtId="0" fontId="37" fillId="0" borderId="0" xfId="0" applyFont="1"/>
    <xf numFmtId="0" fontId="20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6" fillId="0" borderId="0" xfId="0" applyFont="1"/>
    <xf numFmtId="0" fontId="39" fillId="0" borderId="0" xfId="0" applyFont="1"/>
    <xf numFmtId="0" fontId="37" fillId="0" borderId="0" xfId="0" applyFont="1" applyAlignment="1">
      <alignment vertical="center"/>
    </xf>
    <xf numFmtId="0" fontId="0" fillId="0" borderId="14" xfId="0" applyBorder="1"/>
    <xf numFmtId="0" fontId="0" fillId="0" borderId="8" xfId="0" applyBorder="1"/>
    <xf numFmtId="0" fontId="0" fillId="0" borderId="9" xfId="0" applyBorder="1"/>
    <xf numFmtId="0" fontId="12" fillId="0" borderId="9" xfId="2" applyFont="1" applyFill="1" applyBorder="1" applyAlignment="1" applyProtection="1">
      <alignment vertical="center"/>
    </xf>
    <xf numFmtId="0" fontId="23" fillId="0" borderId="9" xfId="2" quotePrefix="1" applyFont="1" applyFill="1" applyBorder="1" applyAlignment="1">
      <alignment vertical="center"/>
    </xf>
    <xf numFmtId="0" fontId="0" fillId="0" borderId="10" xfId="0" applyBorder="1"/>
    <xf numFmtId="44" fontId="56" fillId="3" borderId="5" xfId="0" applyNumberFormat="1" applyFont="1" applyFill="1" applyBorder="1" applyAlignment="1">
      <alignment horizontal="center" vertical="center"/>
    </xf>
    <xf numFmtId="44" fontId="27" fillId="8" borderId="5" xfId="0" applyNumberFormat="1" applyFont="1" applyFill="1" applyBorder="1" applyAlignment="1" applyProtection="1">
      <alignment horizontal="right" vertical="center"/>
      <protection locked="0"/>
    </xf>
    <xf numFmtId="0" fontId="55" fillId="0" borderId="12" xfId="0" applyFont="1" applyBorder="1" applyAlignment="1">
      <alignment vertical="center"/>
    </xf>
    <xf numFmtId="44" fontId="40" fillId="0" borderId="4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vertical="center"/>
    </xf>
    <xf numFmtId="44" fontId="23" fillId="0" borderId="4" xfId="0" applyNumberFormat="1" applyFont="1" applyBorder="1" applyAlignment="1">
      <alignment horizontal="right" vertical="center"/>
    </xf>
    <xf numFmtId="44" fontId="27" fillId="6" borderId="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/>
    </xf>
    <xf numFmtId="0" fontId="55" fillId="4" borderId="4" xfId="0" applyFont="1" applyFill="1" applyBorder="1" applyAlignment="1">
      <alignment horizontal="center" vertical="center"/>
    </xf>
    <xf numFmtId="164" fontId="43" fillId="7" borderId="12" xfId="0" applyNumberFormat="1" applyFont="1" applyFill="1" applyBorder="1" applyAlignment="1">
      <alignment horizontal="center" vertical="center"/>
    </xf>
    <xf numFmtId="164" fontId="43" fillId="7" borderId="6" xfId="0" applyNumberFormat="1" applyFont="1" applyFill="1" applyBorder="1" applyAlignment="1">
      <alignment horizontal="center" vertical="center"/>
    </xf>
    <xf numFmtId="164" fontId="43" fillId="7" borderId="13" xfId="0" applyNumberFormat="1" applyFont="1" applyFill="1" applyBorder="1" applyAlignment="1">
      <alignment horizontal="center" vertical="center"/>
    </xf>
    <xf numFmtId="164" fontId="43" fillId="7" borderId="14" xfId="0" applyNumberFormat="1" applyFont="1" applyFill="1" applyBorder="1" applyAlignment="1">
      <alignment horizontal="center" vertical="center"/>
    </xf>
    <xf numFmtId="164" fontId="43" fillId="7" borderId="8" xfId="0" applyNumberFormat="1" applyFont="1" applyFill="1" applyBorder="1" applyAlignment="1">
      <alignment horizontal="center" vertical="center"/>
    </xf>
    <xf numFmtId="164" fontId="43" fillId="7" borderId="10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/>
    </xf>
    <xf numFmtId="0" fontId="55" fillId="4" borderId="4" xfId="0" applyFont="1" applyFill="1" applyBorder="1" applyAlignment="1">
      <alignment horizontal="center"/>
    </xf>
    <xf numFmtId="164" fontId="47" fillId="8" borderId="2" xfId="0" applyNumberFormat="1" applyFont="1" applyFill="1" applyBorder="1" applyAlignment="1" applyProtection="1">
      <alignment horizontal="right" vertical="center"/>
      <protection locked="0"/>
    </xf>
    <xf numFmtId="164" fontId="47" fillId="8" borderId="4" xfId="0" applyNumberFormat="1" applyFont="1" applyFill="1" applyBorder="1" applyAlignment="1" applyProtection="1">
      <alignment horizontal="right" vertical="center"/>
      <protection locked="0"/>
    </xf>
    <xf numFmtId="0" fontId="55" fillId="0" borderId="2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0" fontId="55" fillId="4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55" fillId="6" borderId="2" xfId="0" applyFont="1" applyFill="1" applyBorder="1" applyAlignment="1">
      <alignment horizontal="center" vertical="center"/>
    </xf>
    <xf numFmtId="0" fontId="55" fillId="6" borderId="3" xfId="0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0" fontId="55" fillId="0" borderId="4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6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55" fillId="0" borderId="8" xfId="0" applyFont="1" applyBorder="1" applyAlignment="1">
      <alignment horizontal="left" vertical="center"/>
    </xf>
    <xf numFmtId="0" fontId="55" fillId="0" borderId="10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23" fillId="0" borderId="9" xfId="2" applyFont="1" applyFill="1" applyBorder="1" applyAlignment="1" applyProtection="1">
      <alignment horizontal="right" vertical="center"/>
    </xf>
    <xf numFmtId="0" fontId="22" fillId="0" borderId="13" xfId="0" applyFont="1" applyBorder="1" applyAlignment="1">
      <alignment horizontal="center" vertical="center" textRotation="90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3" fillId="0" borderId="9" xfId="2" quotePrefix="1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 textRotation="90"/>
    </xf>
    <xf numFmtId="164" fontId="29" fillId="4" borderId="1" xfId="0" applyNumberFormat="1" applyFont="1" applyFill="1" applyBorder="1" applyAlignment="1">
      <alignment horizontal="center" vertical="center"/>
    </xf>
    <xf numFmtId="164" fontId="29" fillId="4" borderId="15" xfId="0" applyNumberFormat="1" applyFont="1" applyFill="1" applyBorder="1" applyAlignment="1">
      <alignment horizontal="center" vertical="center"/>
    </xf>
    <xf numFmtId="164" fontId="29" fillId="4" borderId="7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justify"/>
    </xf>
    <xf numFmtId="0" fontId="11" fillId="0" borderId="7" xfId="0" applyFont="1" applyBorder="1" applyAlignment="1">
      <alignment horizontal="center" vertical="justify"/>
    </xf>
    <xf numFmtId="0" fontId="23" fillId="0" borderId="0" xfId="2" quotePrefix="1" applyFont="1" applyFill="1" applyAlignment="1">
      <alignment horizontal="left" vertical="center"/>
    </xf>
    <xf numFmtId="0" fontId="33" fillId="0" borderId="11" xfId="2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6DD"/>
      <color rgb="FF960000"/>
      <color rgb="FF98BDC2"/>
      <color rgb="FF82AEB4"/>
      <color rgb="FFDEDEDE"/>
      <color rgb="FF5E988D"/>
      <color rgb="FFFFF7E1"/>
      <color rgb="FF4E9694"/>
      <color rgb="FF60ACAC"/>
      <color rgb="FF587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aticasdepessoal.com.b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instagram.com/fagnercaguiar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33</xdr:row>
      <xdr:rowOff>16710</xdr:rowOff>
    </xdr:from>
    <xdr:to>
      <xdr:col>1</xdr:col>
      <xdr:colOff>248648</xdr:colOff>
      <xdr:row>33</xdr:row>
      <xdr:rowOff>171450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4598235"/>
          <a:ext cx="134347" cy="15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60840</xdr:colOff>
      <xdr:row>0</xdr:row>
      <xdr:rowOff>85658</xdr:rowOff>
    </xdr:from>
    <xdr:to>
      <xdr:col>2</xdr:col>
      <xdr:colOff>438151</xdr:colOff>
      <xdr:row>1</xdr:row>
      <xdr:rowOff>81507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0" y="85658"/>
          <a:ext cx="901186" cy="36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fagnercaguiar/" TargetMode="External"/><Relationship Id="rId2" Type="http://schemas.openxmlformats.org/officeDocument/2006/relationships/hyperlink" Target="http://praticasdepessoal.com.br/" TargetMode="External"/><Relationship Id="rId1" Type="http://schemas.openxmlformats.org/officeDocument/2006/relationships/hyperlink" Target="http://www.praticasdepessoal.com.b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K37"/>
  <sheetViews>
    <sheetView showGridLines="0" showRowColHeaders="0" tabSelected="1" zoomScaleNormal="100" zoomScaleSheetLayoutView="100" workbookViewId="0">
      <pane xSplit="16" ySplit="36" topLeftCell="XDC37" activePane="bottomRight" state="frozen"/>
      <selection pane="topRight" activeCell="P1" sqref="P1"/>
      <selection pane="bottomLeft" activeCell="A30" sqref="A30"/>
      <selection pane="bottomRight" activeCell="F17" sqref="F17:G17"/>
    </sheetView>
  </sheetViews>
  <sheetFormatPr defaultColWidth="0" defaultRowHeight="15" zeroHeight="1" x14ac:dyDescent="0.25"/>
  <cols>
    <col min="1" max="1" width="3.85546875" customWidth="1"/>
    <col min="2" max="2" width="4" customWidth="1"/>
    <col min="3" max="3" width="11.42578125" customWidth="1"/>
    <col min="4" max="4" width="7" customWidth="1"/>
    <col min="5" max="5" width="12.28515625" customWidth="1"/>
    <col min="6" max="6" width="9" customWidth="1"/>
    <col min="7" max="7" width="6.140625" customWidth="1"/>
    <col min="8" max="8" width="14.140625" customWidth="1"/>
    <col min="9" max="9" width="6.42578125" customWidth="1"/>
    <col min="10" max="10" width="14.42578125" customWidth="1"/>
    <col min="11" max="11" width="6.42578125" customWidth="1"/>
    <col min="12" max="12" width="12.42578125" customWidth="1"/>
    <col min="13" max="13" width="3.5703125" customWidth="1"/>
    <col min="14" max="14" width="0.42578125" customWidth="1"/>
    <col min="15" max="15" width="1.28515625" hidden="1" customWidth="1"/>
    <col min="16" max="16" width="1.42578125" hidden="1" customWidth="1"/>
    <col min="17" max="17" width="4.28515625" hidden="1" customWidth="1"/>
    <col min="18" max="18" width="10" style="15" hidden="1" customWidth="1"/>
    <col min="19" max="19" width="9.140625" style="15" hidden="1" customWidth="1"/>
    <col min="20" max="21" width="10.140625" style="15" hidden="1" customWidth="1"/>
    <col min="22" max="22" width="3" style="15" hidden="1" customWidth="1"/>
    <col min="23" max="23" width="3.28515625" style="15" hidden="1" customWidth="1"/>
    <col min="24" max="24" width="10.42578125" style="15" hidden="1" customWidth="1"/>
    <col min="25" max="25" width="6" style="15" hidden="1" customWidth="1"/>
    <col min="26" max="26" width="11.140625" style="15" hidden="1" customWidth="1"/>
    <col min="27" max="27" width="7.5703125" style="15" hidden="1" customWidth="1"/>
    <col min="28" max="28" width="7.85546875" style="15" hidden="1" customWidth="1"/>
    <col min="29" max="29" width="11.28515625" style="15" hidden="1" customWidth="1"/>
    <col min="30" max="30" width="11.7109375" style="15" hidden="1" customWidth="1"/>
    <col min="31" max="16384" width="1.42578125" hidden="1"/>
  </cols>
  <sheetData>
    <row r="1" spans="1:16365" ht="29.25" customHeight="1" x14ac:dyDescent="0.25">
      <c r="A1" s="107"/>
      <c r="B1" s="108"/>
      <c r="C1" s="109"/>
      <c r="D1" s="110"/>
      <c r="E1" s="110"/>
      <c r="F1" s="109"/>
      <c r="G1" s="109"/>
      <c r="H1" s="109"/>
      <c r="I1" s="109"/>
      <c r="J1" s="206" t="s">
        <v>24</v>
      </c>
      <c r="K1" s="206"/>
      <c r="L1" s="206"/>
      <c r="M1" s="111"/>
      <c r="N1" s="1"/>
      <c r="O1" s="1"/>
      <c r="P1" s="1"/>
      <c r="W1" s="33"/>
      <c r="Y1" s="22"/>
      <c r="Z1" s="22"/>
      <c r="AD1" s="53"/>
    </row>
    <row r="2" spans="1:16365" s="25" customFormat="1" ht="18" customHeight="1" x14ac:dyDescent="0.3">
      <c r="A2" s="112"/>
      <c r="B2" s="211" t="s">
        <v>33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113"/>
      <c r="N2" s="2"/>
      <c r="O2" s="2"/>
      <c r="P2" s="2"/>
      <c r="R2" s="34"/>
      <c r="S2" s="34"/>
      <c r="T2" s="34"/>
      <c r="U2" s="34"/>
      <c r="V2" s="34"/>
      <c r="W2" s="55"/>
      <c r="X2" s="55"/>
      <c r="Y2" s="55"/>
      <c r="Z2" s="55"/>
      <c r="AA2" s="55"/>
      <c r="AB2" s="55"/>
      <c r="AD2" s="55"/>
    </row>
    <row r="3" spans="1:16365" s="25" customFormat="1" ht="11.25" customHeight="1" x14ac:dyDescent="0.25">
      <c r="A3" s="112"/>
      <c r="B3" s="223" t="s">
        <v>34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113"/>
      <c r="N3" s="2"/>
      <c r="O3" s="2"/>
      <c r="P3" s="2"/>
      <c r="R3" s="34"/>
      <c r="S3" s="34"/>
      <c r="T3" s="34"/>
      <c r="U3" s="34"/>
      <c r="V3" s="34"/>
      <c r="W3" s="212"/>
      <c r="X3" s="212"/>
      <c r="Y3" s="212"/>
      <c r="Z3" s="212"/>
      <c r="AA3" s="212"/>
      <c r="AB3" s="212"/>
      <c r="AC3" s="212"/>
      <c r="AD3" s="212"/>
    </row>
    <row r="4" spans="1:16365" s="25" customFormat="1" ht="13.5" customHeight="1" x14ac:dyDescent="0.25">
      <c r="A4" s="112"/>
      <c r="B4" s="224" t="s">
        <v>15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199" t="s">
        <v>54</v>
      </c>
      <c r="N4" s="24"/>
      <c r="O4" s="24"/>
      <c r="P4" s="24"/>
      <c r="R4" s="34"/>
      <c r="S4" s="34"/>
      <c r="T4" s="34"/>
      <c r="U4" s="34"/>
      <c r="V4" s="34"/>
      <c r="W4" s="213"/>
      <c r="X4" s="213"/>
      <c r="Y4" s="213"/>
      <c r="Z4" s="213"/>
      <c r="AA4" s="213"/>
      <c r="AB4" s="213"/>
      <c r="AC4" s="213"/>
      <c r="AD4" s="213"/>
    </row>
    <row r="5" spans="1:16365" ht="6" customHeight="1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99"/>
      <c r="N5" s="3"/>
      <c r="O5" s="3"/>
      <c r="P5" s="3"/>
      <c r="W5" s="34"/>
      <c r="X5" s="34"/>
      <c r="Y5" s="34"/>
      <c r="Z5" s="34"/>
      <c r="AA5" s="34"/>
      <c r="AB5" s="34"/>
      <c r="AC5" s="34"/>
      <c r="AD5" s="34"/>
    </row>
    <row r="6" spans="1:16365" ht="12" customHeight="1" x14ac:dyDescent="0.25">
      <c r="A6" s="186" t="s">
        <v>32</v>
      </c>
      <c r="B6" s="187" t="s">
        <v>18</v>
      </c>
      <c r="C6" s="188"/>
      <c r="D6" s="188"/>
      <c r="E6" s="189"/>
      <c r="F6" s="11"/>
      <c r="G6" s="116"/>
      <c r="K6" s="35" t="s">
        <v>14</v>
      </c>
      <c r="L6" s="117">
        <f>IF(E7&gt;0,K10/E7,"")</f>
        <v>9.6544999999999992E-2</v>
      </c>
      <c r="M6" s="199"/>
      <c r="N6" s="4"/>
      <c r="O6" s="4"/>
      <c r="P6" s="4"/>
      <c r="W6" s="216" t="s">
        <v>20</v>
      </c>
      <c r="X6" s="217"/>
      <c r="Y6" s="217"/>
      <c r="Z6" s="218"/>
      <c r="AA6" s="11"/>
      <c r="AC6" s="35" t="s">
        <v>14</v>
      </c>
      <c r="AD6" s="23">
        <f>IF(Z7&gt;0,AD10/Z7,0%)</f>
        <v>4.638546476142081E-2</v>
      </c>
    </row>
    <row r="7" spans="1:16365" ht="12" customHeight="1" x14ac:dyDescent="0.25">
      <c r="A7" s="186"/>
      <c r="B7" s="207" t="s">
        <v>13</v>
      </c>
      <c r="C7" s="208"/>
      <c r="D7" s="208"/>
      <c r="E7" s="104">
        <v>4000</v>
      </c>
      <c r="F7" s="118" t="str">
        <f>IF(E7&lt;=0,"=&gt;&gt; informe um valor de remuneração maior que 0,00","")</f>
        <v/>
      </c>
      <c r="G7" s="15"/>
      <c r="H7" s="12"/>
      <c r="M7" s="199"/>
      <c r="N7" s="5"/>
      <c r="O7" s="5"/>
      <c r="P7" s="5"/>
      <c r="W7" s="219" t="s">
        <v>21</v>
      </c>
      <c r="X7" s="220"/>
      <c r="Y7" s="221"/>
      <c r="Z7" s="36">
        <f>H28</f>
        <v>3424.23</v>
      </c>
      <c r="AA7" s="30" t="str">
        <f>IF(Z7&lt;=0,"=&gt;&gt; informe um valor de remuneração maior que 0,00 &lt;==","")</f>
        <v/>
      </c>
      <c r="AB7" s="30"/>
      <c r="AC7" s="12"/>
    </row>
    <row r="8" spans="1:16365" ht="3.75" customHeight="1" x14ac:dyDescent="0.25">
      <c r="A8" s="186"/>
      <c r="E8" s="119"/>
      <c r="G8" s="120"/>
      <c r="H8" s="120"/>
      <c r="I8" s="121"/>
      <c r="J8" s="121"/>
      <c r="K8" s="121"/>
      <c r="L8" s="6"/>
      <c r="M8" s="199"/>
      <c r="N8" s="6"/>
      <c r="O8" s="6"/>
      <c r="P8" s="6"/>
      <c r="AC8" s="37"/>
      <c r="AD8" s="13"/>
    </row>
    <row r="9" spans="1:16365" ht="9.75" customHeight="1" x14ac:dyDescent="0.25">
      <c r="A9" s="186"/>
      <c r="B9" s="190" t="s">
        <v>0</v>
      </c>
      <c r="C9" s="190"/>
      <c r="D9" s="190"/>
      <c r="E9" s="190"/>
      <c r="F9" s="102" t="s">
        <v>1</v>
      </c>
      <c r="G9" s="191" t="s">
        <v>17</v>
      </c>
      <c r="H9" s="192"/>
      <c r="I9" s="192"/>
      <c r="J9" s="189"/>
      <c r="K9" s="150" t="s">
        <v>53</v>
      </c>
      <c r="L9" s="151"/>
      <c r="M9" s="199"/>
      <c r="N9" s="6"/>
      <c r="O9" s="6"/>
      <c r="P9" s="6"/>
      <c r="Q9" s="7"/>
      <c r="R9" s="181" t="s">
        <v>3</v>
      </c>
      <c r="S9" s="182"/>
      <c r="T9" s="203" t="s">
        <v>2</v>
      </c>
      <c r="U9" s="203" t="s">
        <v>11</v>
      </c>
      <c r="W9" s="222" t="s">
        <v>28</v>
      </c>
      <c r="X9" s="222"/>
      <c r="Y9" s="222"/>
      <c r="Z9" s="222"/>
      <c r="AA9" s="28" t="s">
        <v>1</v>
      </c>
      <c r="AB9" s="52" t="s">
        <v>25</v>
      </c>
      <c r="AC9" s="56" t="s">
        <v>26</v>
      </c>
      <c r="AD9" s="29" t="s">
        <v>27</v>
      </c>
    </row>
    <row r="10" spans="1:16365" s="7" customFormat="1" ht="12" customHeight="1" x14ac:dyDescent="0.25">
      <c r="A10" s="186"/>
      <c r="B10" s="209" t="s">
        <v>16</v>
      </c>
      <c r="C10" s="210"/>
      <c r="D10" s="210"/>
      <c r="E10" s="61">
        <v>1302</v>
      </c>
      <c r="F10" s="62">
        <v>7.4999999999999997E-2</v>
      </c>
      <c r="G10" s="94" t="str">
        <f>IF(J10&lt;&gt;"","1ª =&gt;","")</f>
        <v>1ª =&gt;</v>
      </c>
      <c r="H10" s="63">
        <f>IF(T11&gt;0,T11,"")</f>
        <v>1302</v>
      </c>
      <c r="I10" s="64" t="str">
        <f>IF(J10&lt;&gt;"","=&gt;","")</f>
        <v>=&gt;</v>
      </c>
      <c r="J10" s="65">
        <f>IF(R11&gt;0,U11,"")</f>
        <v>97.65</v>
      </c>
      <c r="K10" s="152">
        <f>IF(SUM(J10:J13)&gt;E14,E14,SUM(J10:J13))</f>
        <v>386.17999999999995</v>
      </c>
      <c r="L10" s="153"/>
      <c r="M10" s="199"/>
      <c r="N10" s="6"/>
      <c r="O10" s="6"/>
      <c r="P10" s="6"/>
      <c r="R10" s="8" t="s">
        <v>4</v>
      </c>
      <c r="S10" s="8" t="s">
        <v>5</v>
      </c>
      <c r="T10" s="204"/>
      <c r="U10" s="204"/>
      <c r="V10" s="12"/>
      <c r="W10" s="214" t="s">
        <v>29</v>
      </c>
      <c r="X10" s="215"/>
      <c r="Y10" s="215"/>
      <c r="Z10" s="39">
        <v>1903.98</v>
      </c>
      <c r="AA10" s="40">
        <v>0</v>
      </c>
      <c r="AB10" s="17">
        <v>0</v>
      </c>
      <c r="AC10" s="41">
        <f>IF(Z7&lt;=Z11,0,0)</f>
        <v>0</v>
      </c>
      <c r="AD10" s="200">
        <f>SUM(AC10:AC14)</f>
        <v>158.83449999999999</v>
      </c>
    </row>
    <row r="11" spans="1:16365" s="7" customFormat="1" ht="12" customHeight="1" x14ac:dyDescent="0.25">
      <c r="A11" s="186"/>
      <c r="B11" s="66" t="s">
        <v>10</v>
      </c>
      <c r="C11" s="67">
        <f>E10+0.01</f>
        <v>1302.01</v>
      </c>
      <c r="D11" s="103" t="s">
        <v>6</v>
      </c>
      <c r="E11" s="68">
        <v>2571.29</v>
      </c>
      <c r="F11" s="69">
        <v>0.09</v>
      </c>
      <c r="G11" s="95" t="str">
        <f>IF(J11&lt;&gt;"","2ª =&gt;","")</f>
        <v>2ª =&gt;</v>
      </c>
      <c r="H11" s="70">
        <f>IF(T12&gt;0,T12,"")</f>
        <v>1269.29</v>
      </c>
      <c r="I11" s="71" t="str">
        <f>IF(J11&lt;&gt;"","=&gt;","")</f>
        <v>=&gt;</v>
      </c>
      <c r="J11" s="72">
        <f>IF(R12&gt;0,U12,"")</f>
        <v>114.24</v>
      </c>
      <c r="K11" s="154"/>
      <c r="L11" s="155"/>
      <c r="M11" s="199"/>
      <c r="R11" s="16">
        <f>IF(S11&gt;0,S11,0)</f>
        <v>97.649999999999991</v>
      </c>
      <c r="S11" s="9">
        <f>IF(E7&gt;=E10,E10*F10,E7*F10)</f>
        <v>97.649999999999991</v>
      </c>
      <c r="T11" s="17">
        <f>IF(E7&lt;=E10,E7,E10)</f>
        <v>1302</v>
      </c>
      <c r="U11" s="17">
        <f>IF(R11&gt;0,ROUND(R11,2),0)</f>
        <v>97.65</v>
      </c>
      <c r="V11" s="12"/>
      <c r="W11" s="60" t="s">
        <v>10</v>
      </c>
      <c r="X11" s="42">
        <f>Z10+0.01</f>
        <v>1903.99</v>
      </c>
      <c r="Y11" s="59" t="s">
        <v>6</v>
      </c>
      <c r="Z11" s="43">
        <v>2826.65</v>
      </c>
      <c r="AA11" s="40">
        <v>7.4999999999999997E-2</v>
      </c>
      <c r="AB11" s="17">
        <v>142.80000000000001</v>
      </c>
      <c r="AC11" s="44">
        <f>IF(AND(Z7&gt;Z10,Z7&lt;=Z11),Z7*AA11-AB11,0)</f>
        <v>0</v>
      </c>
      <c r="AD11" s="201"/>
    </row>
    <row r="12" spans="1:16365" s="7" customFormat="1" ht="12" customHeight="1" x14ac:dyDescent="0.25">
      <c r="A12" s="186"/>
      <c r="B12" s="66" t="s">
        <v>10</v>
      </c>
      <c r="C12" s="67">
        <f>E11+0.01</f>
        <v>2571.3000000000002</v>
      </c>
      <c r="D12" s="103" t="s">
        <v>6</v>
      </c>
      <c r="E12" s="68">
        <v>3856.94</v>
      </c>
      <c r="F12" s="69">
        <v>0.12</v>
      </c>
      <c r="G12" s="95" t="str">
        <f>IF(J12&lt;&gt;"","3ª =&gt;","")</f>
        <v>3ª =&gt;</v>
      </c>
      <c r="H12" s="70">
        <f>IF(T13&gt;0,T13,"")</f>
        <v>1285.6500000000001</v>
      </c>
      <c r="I12" s="71" t="str">
        <f>IF(J12&lt;&gt;"","=&gt;","")</f>
        <v>=&gt;</v>
      </c>
      <c r="J12" s="72">
        <f>IF(R13&gt;0,U13,"")</f>
        <v>154.27000000000001</v>
      </c>
      <c r="K12" s="154"/>
      <c r="L12" s="155"/>
      <c r="M12" s="199"/>
      <c r="R12" s="16">
        <f>IF(S12&gt;0,S12-R11,0)</f>
        <v>114.23610000000001</v>
      </c>
      <c r="S12" s="9">
        <f>IF(E$7&gt;=E11,((E11-E10)*F11)+S11,((E$7-E10)*F11)+S11)</f>
        <v>211.8861</v>
      </c>
      <c r="T12" s="18">
        <f>IF(E7&lt;E11,E7-E10,E11-E10)</f>
        <v>1269.29</v>
      </c>
      <c r="U12" s="17">
        <f>IF(R12&gt;0,ROUND(R12,2),0)</f>
        <v>114.24</v>
      </c>
      <c r="V12" s="12"/>
      <c r="W12" s="60" t="s">
        <v>10</v>
      </c>
      <c r="X12" s="42">
        <f>Z11+0.01</f>
        <v>2826.6600000000003</v>
      </c>
      <c r="Y12" s="59" t="s">
        <v>6</v>
      </c>
      <c r="Z12" s="43">
        <v>3751.05</v>
      </c>
      <c r="AA12" s="40">
        <v>0.15</v>
      </c>
      <c r="AB12" s="17">
        <v>354.8</v>
      </c>
      <c r="AC12" s="44">
        <f>IF(AND(Z7&gt;Z11,Z7&lt;=Z12),Z7*AA12-AB12,0)</f>
        <v>158.83449999999999</v>
      </c>
      <c r="AD12" s="201"/>
    </row>
    <row r="13" spans="1:16365" s="7" customFormat="1" ht="12" customHeight="1" x14ac:dyDescent="0.25">
      <c r="A13" s="186"/>
      <c r="B13" s="73" t="s">
        <v>10</v>
      </c>
      <c r="C13" s="74">
        <f>E12+0.01</f>
        <v>3856.9500000000003</v>
      </c>
      <c r="D13" s="75" t="s">
        <v>6</v>
      </c>
      <c r="E13" s="76">
        <v>7507.49</v>
      </c>
      <c r="F13" s="69">
        <v>0.14000000000000001</v>
      </c>
      <c r="G13" s="96" t="str">
        <f>IF(S15&lt;&gt;"","4ª =&gt;","")</f>
        <v>4ª =&gt;</v>
      </c>
      <c r="H13" s="77">
        <f>IF(T14&gt;0,T14,"")</f>
        <v>143.05999999999995</v>
      </c>
      <c r="I13" s="78" t="str">
        <f>IF(J13&lt;&gt;"","=&gt;","")</f>
        <v>=&gt;</v>
      </c>
      <c r="J13" s="79">
        <f>IF(R14&gt;0,U14,"")</f>
        <v>20.02</v>
      </c>
      <c r="K13" s="156"/>
      <c r="L13" s="157"/>
      <c r="M13" s="199"/>
      <c r="R13" s="16">
        <f>IF(S13&gt;0,S13-R12-R11,0)</f>
        <v>154.27799999999996</v>
      </c>
      <c r="S13" s="9">
        <f>IF(E$7&gt;=E12,((E12-E11)*F12)+S12,((E$7-E11)*F12)+S12)</f>
        <v>366.16409999999996</v>
      </c>
      <c r="T13" s="18">
        <f>IF(E7&lt;E12,E7-E11,E12-E11)</f>
        <v>1285.6500000000001</v>
      </c>
      <c r="U13" s="17">
        <f>IF(R13&gt;0,ROUNDDOWN(R13,2),0)</f>
        <v>154.27000000000001</v>
      </c>
      <c r="V13" s="12"/>
      <c r="W13" s="31" t="s">
        <v>10</v>
      </c>
      <c r="X13" s="45">
        <f>Z12+0.01</f>
        <v>3751.0600000000004</v>
      </c>
      <c r="Y13" s="32" t="s">
        <v>6</v>
      </c>
      <c r="Z13" s="46">
        <v>4664.68</v>
      </c>
      <c r="AA13" s="40">
        <v>0.22500000000000001</v>
      </c>
      <c r="AB13" s="18">
        <v>636.13</v>
      </c>
      <c r="AC13" s="44">
        <f>IF(AND(Z7&gt;Z12,Z7&lt;=Z13),Z7*AA13-AB13,0)</f>
        <v>0</v>
      </c>
      <c r="AD13" s="201"/>
    </row>
    <row r="14" spans="1:16365" ht="12.75" customHeight="1" x14ac:dyDescent="0.25">
      <c r="A14" s="186"/>
      <c r="B14" s="122"/>
      <c r="C14" s="123"/>
      <c r="D14" s="124" t="s">
        <v>12</v>
      </c>
      <c r="E14" s="125">
        <v>877.23</v>
      </c>
      <c r="H14" s="100"/>
      <c r="I14" s="126" t="str">
        <f>IF(E7&gt;E13,"=&gt;&gt; Valor da remuneração acima do teto do INSS:","")</f>
        <v/>
      </c>
      <c r="J14" s="127" t="str">
        <f>IF(E7&gt;E13,E7-E13,"")</f>
        <v/>
      </c>
      <c r="K14" s="128"/>
      <c r="M14" s="199"/>
      <c r="N14" s="7"/>
      <c r="O14" s="7"/>
      <c r="P14" s="7"/>
      <c r="Q14" s="7"/>
      <c r="R14" s="16">
        <f>IF(S14&gt;0,S14-R13-R12-R11,0)</f>
        <v>20.028399999999976</v>
      </c>
      <c r="S14" s="9">
        <f>IF(E$7&gt;=E13,((E13-E12)*F13)+S13,((E$7-E12)*F13)+S13)</f>
        <v>386.19249999999994</v>
      </c>
      <c r="T14" s="18">
        <f>IF(E7&lt;E13,E7-E12,E13-E12)</f>
        <v>143.05999999999995</v>
      </c>
      <c r="U14" s="18">
        <f>IF(R14&gt;0,ROUNDDOWN(R14,2),0)</f>
        <v>20.02</v>
      </c>
      <c r="V14" s="12"/>
      <c r="W14" s="183" t="s">
        <v>23</v>
      </c>
      <c r="X14" s="184"/>
      <c r="Y14" s="184"/>
      <c r="Z14" s="43">
        <f>Z13+0.01</f>
        <v>4664.6900000000005</v>
      </c>
      <c r="AA14" s="40">
        <v>0.27500000000000002</v>
      </c>
      <c r="AB14" s="18">
        <v>869.36</v>
      </c>
      <c r="AC14" s="47">
        <f>IF(Z7&gt;Z13,Z7*AA14-AB14,0)</f>
        <v>0</v>
      </c>
      <c r="AD14" s="202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</row>
    <row r="15" spans="1:16365" ht="1.5" customHeight="1" x14ac:dyDescent="0.25">
      <c r="A15" s="186"/>
      <c r="B15" s="122"/>
      <c r="C15" s="123"/>
      <c r="D15" s="124"/>
      <c r="E15" s="125"/>
      <c r="I15" s="129"/>
      <c r="J15" s="128"/>
      <c r="K15" s="128"/>
      <c r="M15" s="199"/>
      <c r="N15" s="7"/>
      <c r="O15" s="7"/>
      <c r="P15" s="7"/>
      <c r="Q15" s="7"/>
      <c r="R15" s="20" t="s">
        <v>8</v>
      </c>
      <c r="S15" s="57">
        <f>IF(R14&gt;0,R14,"")</f>
        <v>20.028399999999976</v>
      </c>
      <c r="T15" s="18"/>
      <c r="U15" s="21">
        <f>SUM(U11:U14)</f>
        <v>386.17999999999995</v>
      </c>
      <c r="V15" s="12"/>
      <c r="W15" s="12"/>
      <c r="X15" s="48"/>
      <c r="Y15" s="49" t="s">
        <v>22</v>
      </c>
      <c r="Z15" s="50">
        <v>1903.98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</row>
    <row r="16" spans="1:16365" ht="11.25" customHeight="1" x14ac:dyDescent="0.25">
      <c r="A16" s="186"/>
      <c r="C16" s="164" t="s">
        <v>40</v>
      </c>
      <c r="D16" s="165"/>
      <c r="E16" s="165"/>
      <c r="F16" s="158" t="s">
        <v>41</v>
      </c>
      <c r="G16" s="159"/>
      <c r="H16" s="99" t="s">
        <v>53</v>
      </c>
      <c r="I16" s="130" t="str">
        <f>IF(F17,"=&gt; Para simular como segurado informe R$ 0,00 em serviços","")</f>
        <v/>
      </c>
      <c r="M16" s="199"/>
      <c r="N16" s="7"/>
      <c r="O16" s="7"/>
      <c r="P16" s="7"/>
      <c r="Q16" s="7"/>
      <c r="R16" s="82"/>
      <c r="S16" s="44"/>
      <c r="T16" s="19"/>
      <c r="U16" s="19"/>
      <c r="V16" s="12"/>
      <c r="W16" s="38"/>
      <c r="X16" s="38"/>
      <c r="Y16" s="38"/>
      <c r="Z16" s="44"/>
      <c r="AA16" s="80"/>
      <c r="AB16" s="19"/>
      <c r="AC16" s="44"/>
      <c r="AD16" s="81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</row>
    <row r="17" spans="1:16365" ht="12.75" customHeight="1" x14ac:dyDescent="0.25">
      <c r="A17" s="186"/>
      <c r="C17" s="166"/>
      <c r="D17" s="167"/>
      <c r="E17" s="167"/>
      <c r="F17" s="160">
        <v>0</v>
      </c>
      <c r="G17" s="161"/>
      <c r="H17" s="83">
        <f>IF(F17&gt;E13,E13*0.11,F17*0.11)</f>
        <v>0</v>
      </c>
      <c r="I17" s="131" t="str">
        <f>IF(F17,"=&gt; A SIMULAÇÃO DE CÁLCULO SERÁ COMO AUTÔNOMO","")</f>
        <v/>
      </c>
      <c r="M17" s="199"/>
      <c r="N17" s="7"/>
      <c r="O17" s="7"/>
      <c r="P17" s="7"/>
      <c r="Q17" s="7"/>
      <c r="R17" s="82"/>
      <c r="S17" s="44"/>
      <c r="T17" s="19"/>
      <c r="U17" s="19"/>
      <c r="V17" s="12"/>
      <c r="W17" s="38"/>
      <c r="X17" s="38"/>
      <c r="Y17" s="38"/>
      <c r="Z17" s="44"/>
      <c r="AA17" s="80"/>
      <c r="AB17" s="19"/>
      <c r="AC17" s="44"/>
      <c r="AD17" s="81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</row>
    <row r="18" spans="1:16365" ht="2.25" customHeight="1" x14ac:dyDescent="0.25">
      <c r="A18" s="186"/>
      <c r="C18" s="132"/>
      <c r="D18" s="132"/>
      <c r="E18" s="132"/>
      <c r="F18" s="132"/>
      <c r="G18" s="132"/>
      <c r="J18" s="132"/>
      <c r="K18" s="132"/>
      <c r="M18" s="199"/>
      <c r="N18" s="7"/>
      <c r="O18" s="7"/>
      <c r="P18" s="7"/>
      <c r="Q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</row>
    <row r="19" spans="1:16365" ht="3.75" customHeight="1" x14ac:dyDescent="0.25">
      <c r="A19" s="186"/>
      <c r="B19" s="133"/>
      <c r="C19" s="115"/>
      <c r="D19" s="115"/>
      <c r="E19" s="132"/>
      <c r="F19" s="115"/>
      <c r="G19" s="115"/>
      <c r="H19" s="115"/>
      <c r="I19" s="115"/>
      <c r="K19" s="115"/>
      <c r="L19" s="115"/>
      <c r="M19" s="199"/>
      <c r="N19" s="7"/>
      <c r="O19" s="7"/>
      <c r="P19" s="7"/>
      <c r="Q19" s="7"/>
      <c r="S19" s="45"/>
      <c r="T19" s="19"/>
      <c r="U19" s="54"/>
      <c r="V19" s="12"/>
      <c r="W19" s="12"/>
      <c r="X19" s="48"/>
      <c r="Y19" s="49"/>
      <c r="Z19" s="50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</row>
    <row r="20" spans="1:16365" ht="1.5" customHeight="1" x14ac:dyDescent="0.25">
      <c r="A20" s="186"/>
      <c r="B20" s="133"/>
      <c r="C20" s="115"/>
      <c r="D20" s="115"/>
      <c r="E20" s="132"/>
      <c r="F20" s="115"/>
      <c r="G20" s="115"/>
      <c r="H20" s="115"/>
      <c r="I20" s="115"/>
      <c r="J20" s="115"/>
      <c r="K20" s="115"/>
      <c r="L20" s="115"/>
      <c r="M20" s="199"/>
      <c r="N20" s="7"/>
      <c r="O20" s="7"/>
      <c r="P20" s="7"/>
      <c r="Q20" s="7"/>
      <c r="S20" s="45"/>
      <c r="T20" s="19"/>
      <c r="U20" s="54"/>
      <c r="V20" s="12"/>
      <c r="W20" s="12"/>
      <c r="X20" s="48"/>
      <c r="Y20" s="49"/>
      <c r="Z20" s="50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</row>
    <row r="21" spans="1:16365" ht="15.75" customHeight="1" x14ac:dyDescent="0.25">
      <c r="A21" s="186"/>
      <c r="B21" s="134" t="s">
        <v>39</v>
      </c>
      <c r="D21" s="135"/>
      <c r="E21" s="135"/>
      <c r="F21" s="135"/>
      <c r="G21" s="135"/>
      <c r="H21" s="135"/>
      <c r="I21" s="135"/>
      <c r="J21" s="131" t="str">
        <f>IF(F17&lt;=0,"=&gt; SIMULAÇÃO DE CÁLCULO COMO SEGURADO","")</f>
        <v>=&gt; SIMULAÇÃO DE CÁLCULO COMO SEGURADO</v>
      </c>
      <c r="L21" s="135"/>
      <c r="M21" s="199"/>
      <c r="N21" s="7"/>
      <c r="O21" s="7"/>
      <c r="P21" s="7"/>
      <c r="Q21" s="7"/>
      <c r="T21" s="19"/>
      <c r="V21" s="12"/>
      <c r="W21" s="51"/>
      <c r="X21" s="37"/>
      <c r="Y21" s="38"/>
      <c r="Z21" s="13"/>
      <c r="AA21" s="12"/>
      <c r="AB21" s="12"/>
      <c r="AC21" s="12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</row>
    <row r="22" spans="1:16365" ht="12.95" customHeight="1" x14ac:dyDescent="0.25">
      <c r="A22" s="186"/>
      <c r="B22" s="190" t="s">
        <v>30</v>
      </c>
      <c r="C22" s="190"/>
      <c r="D22" s="190"/>
      <c r="E22" s="190"/>
      <c r="F22" s="190"/>
      <c r="G22" s="190"/>
      <c r="H22" s="194"/>
      <c r="J22" s="171" t="s">
        <v>42</v>
      </c>
      <c r="K22" s="172"/>
      <c r="L22" s="173"/>
      <c r="M22" s="199"/>
      <c r="N22" s="10"/>
      <c r="O22" s="10"/>
      <c r="P22" s="10"/>
      <c r="Q22" s="7"/>
      <c r="Z22" s="26"/>
      <c r="AA22" s="12"/>
      <c r="AB22" s="12"/>
      <c r="AC22" s="14"/>
    </row>
    <row r="23" spans="1:16365" s="7" customFormat="1" ht="12" customHeight="1" x14ac:dyDescent="0.25">
      <c r="A23" s="186"/>
      <c r="B23" s="168" t="s">
        <v>51</v>
      </c>
      <c r="C23" s="169"/>
      <c r="D23" s="169"/>
      <c r="E23" s="169"/>
      <c r="F23" s="195" t="str">
        <f>IF(F17,"do AUTÔNOMO"," do SEGURADO")</f>
        <v xml:space="preserve"> do SEGURADO</v>
      </c>
      <c r="G23" s="196"/>
      <c r="H23" s="85">
        <f>IF(F17,F17,E7)</f>
        <v>4000</v>
      </c>
      <c r="J23" s="162" t="s">
        <v>50</v>
      </c>
      <c r="K23" s="174"/>
      <c r="L23" s="143">
        <f>H23</f>
        <v>4000</v>
      </c>
      <c r="M23" s="199"/>
      <c r="R23" s="12"/>
      <c r="S23" s="12"/>
      <c r="T23" s="12"/>
      <c r="U23" s="12"/>
      <c r="V23" s="12"/>
      <c r="W23" s="12"/>
      <c r="X23" s="12"/>
      <c r="Y23" s="12"/>
      <c r="Z23" s="97"/>
      <c r="AA23" s="205"/>
      <c r="AB23" s="205"/>
      <c r="AC23" s="27"/>
      <c r="AD23" s="98"/>
    </row>
    <row r="24" spans="1:16365" s="7" customFormat="1" ht="12" customHeight="1" x14ac:dyDescent="0.25">
      <c r="A24" s="186"/>
      <c r="B24" s="198" t="s">
        <v>31</v>
      </c>
      <c r="C24" s="198"/>
      <c r="D24" s="198"/>
      <c r="E24" s="198"/>
      <c r="F24" s="198"/>
      <c r="G24" s="198"/>
      <c r="H24" s="84">
        <f>IF(F17,H17,K10)</f>
        <v>386.17999999999995</v>
      </c>
      <c r="J24" s="175" t="s">
        <v>56</v>
      </c>
      <c r="K24" s="176"/>
      <c r="L24" s="144">
        <v>0</v>
      </c>
      <c r="M24" s="199"/>
      <c r="N24" s="5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16365" s="7" customFormat="1" ht="12" customHeight="1" x14ac:dyDescent="0.25">
      <c r="A25" s="186"/>
      <c r="B25" s="197" t="s">
        <v>19</v>
      </c>
      <c r="C25" s="197"/>
      <c r="D25" s="197"/>
      <c r="E25" s="197"/>
      <c r="F25" s="197"/>
      <c r="G25" s="105">
        <v>1</v>
      </c>
      <c r="H25" s="86">
        <f>(G25*189.59)</f>
        <v>189.59</v>
      </c>
      <c r="J25" s="145" t="s">
        <v>44</v>
      </c>
      <c r="K25" s="89">
        <f>IF(F17,"11%",L6)</f>
        <v>9.6544999999999992E-2</v>
      </c>
      <c r="L25" s="146">
        <f>H24</f>
        <v>386.17999999999995</v>
      </c>
      <c r="M25" s="199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16365" s="7" customFormat="1" ht="12" customHeight="1" x14ac:dyDescent="0.25">
      <c r="A26" s="186"/>
      <c r="B26" s="197" t="s">
        <v>45</v>
      </c>
      <c r="C26" s="197"/>
      <c r="D26" s="197"/>
      <c r="E26" s="197"/>
      <c r="F26" s="197"/>
      <c r="G26" s="197"/>
      <c r="H26" s="106">
        <v>0</v>
      </c>
      <c r="J26" s="147" t="s">
        <v>43</v>
      </c>
      <c r="K26" s="90">
        <f>G29</f>
        <v>0.15</v>
      </c>
      <c r="L26" s="148">
        <f>H29</f>
        <v>158.83449999999999</v>
      </c>
      <c r="M26" s="19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16365" s="7" customFormat="1" ht="12" customHeight="1" x14ac:dyDescent="0.25">
      <c r="A27" s="186"/>
      <c r="B27" s="197" t="s">
        <v>46</v>
      </c>
      <c r="C27" s="197"/>
      <c r="D27" s="197"/>
      <c r="E27" s="197"/>
      <c r="F27" s="197"/>
      <c r="G27" s="197"/>
      <c r="H27" s="106">
        <v>0</v>
      </c>
      <c r="J27" s="179" t="s">
        <v>36</v>
      </c>
      <c r="K27" s="180"/>
      <c r="L27" s="144">
        <v>0</v>
      </c>
      <c r="M27" s="199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16365" s="7" customFormat="1" ht="12" customHeight="1" x14ac:dyDescent="0.25">
      <c r="A28" s="186"/>
      <c r="B28" s="168" t="s">
        <v>47</v>
      </c>
      <c r="C28" s="169"/>
      <c r="D28" s="169"/>
      <c r="E28" s="169"/>
      <c r="F28" s="169"/>
      <c r="G28" s="170"/>
      <c r="H28" s="87">
        <f>IF((H23-H24-H25-H26-H27)&gt;0,H23-H24-H25-H26-H27,0)</f>
        <v>3424.23</v>
      </c>
      <c r="I28" s="136" t="s">
        <v>37</v>
      </c>
      <c r="J28" s="162" t="s">
        <v>38</v>
      </c>
      <c r="K28" s="174"/>
      <c r="L28" s="144">
        <v>0</v>
      </c>
      <c r="M28" s="199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16365" s="7" customFormat="1" ht="12" customHeight="1" x14ac:dyDescent="0.25">
      <c r="A29" s="186"/>
      <c r="B29" s="162" t="s">
        <v>52</v>
      </c>
      <c r="C29" s="163"/>
      <c r="D29" s="163"/>
      <c r="E29" s="163"/>
      <c r="F29" s="163"/>
      <c r="G29" s="88">
        <f>IF(AC11&gt;0,AA11,IF(AC12&gt;0,AA12,IF(AC13&gt;0,AA13,IF(AC14&gt;0,AA14,0))))</f>
        <v>0.15</v>
      </c>
      <c r="H29" s="91">
        <f>IF(H28&gt;H31,AD10,0)</f>
        <v>158.83449999999999</v>
      </c>
      <c r="J29" s="171" t="s">
        <v>35</v>
      </c>
      <c r="K29" s="173"/>
      <c r="L29" s="149">
        <f>L23+L24-L25-L26-L27-L28</f>
        <v>3454.9855000000002</v>
      </c>
      <c r="M29" s="19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16365" ht="4.5" customHeight="1" x14ac:dyDescent="0.25">
      <c r="A30" s="114"/>
      <c r="M30" s="137"/>
    </row>
    <row r="31" spans="1:16365" ht="9.75" customHeight="1" x14ac:dyDescent="0.25">
      <c r="A31" s="114"/>
      <c r="B31" s="177" t="s">
        <v>48</v>
      </c>
      <c r="C31" s="178"/>
      <c r="D31" s="92">
        <f>IF(H29&gt;0,H29/H28,"")</f>
        <v>4.638546476142081E-2</v>
      </c>
      <c r="F31" s="177" t="s">
        <v>49</v>
      </c>
      <c r="G31" s="178"/>
      <c r="H31" s="93">
        <f>Z10</f>
        <v>1903.98</v>
      </c>
      <c r="J31" s="131" t="str">
        <f>IF(AND(H29&lt;9.995,H28&gt;H31),"=&gt;&gt; IRRF INFERIOR A R$ 10,00 &lt;&lt;=","")</f>
        <v/>
      </c>
      <c r="M31" s="137"/>
    </row>
    <row r="32" spans="1:16365" ht="10.5" customHeight="1" x14ac:dyDescent="0.25">
      <c r="A32" s="114"/>
      <c r="J32" s="131" t="str">
        <f>IF(H28&lt;H31,"=&gt;&gt; BASE DE CÁLCULO ISENTA DO IRRF &lt;&lt;=","")</f>
        <v/>
      </c>
      <c r="M32" s="137"/>
    </row>
    <row r="33" spans="1:13" ht="11.25" customHeight="1" x14ac:dyDescent="0.25">
      <c r="A33" s="114"/>
      <c r="B33" s="101" t="s">
        <v>55</v>
      </c>
      <c r="G33" s="100"/>
      <c r="M33" s="137"/>
    </row>
    <row r="34" spans="1:13" ht="15.75" customHeight="1" x14ac:dyDescent="0.25">
      <c r="A34" s="138"/>
      <c r="B34" s="139"/>
      <c r="C34" s="193" t="s">
        <v>7</v>
      </c>
      <c r="D34" s="193"/>
      <c r="E34" s="140"/>
      <c r="F34" s="139"/>
      <c r="G34" s="139"/>
      <c r="H34" s="141"/>
      <c r="I34" s="185" t="s">
        <v>9</v>
      </c>
      <c r="J34" s="185"/>
      <c r="K34" s="185"/>
      <c r="L34" s="185"/>
      <c r="M34" s="142"/>
    </row>
    <row r="36" spans="1:13" ht="4.5" hidden="1" customHeight="1" x14ac:dyDescent="0.25"/>
    <row r="37" spans="1:13" ht="5.25" hidden="1" customHeight="1" x14ac:dyDescent="0.25"/>
  </sheetData>
  <sheetProtection algorithmName="SHA-512" hashValue="8k09dm2yYZVXRq2e9/O1t2L2PYEtV3cSCU0fGXHHMsv9+8QQPtnOUNlsftLmQmgQ04BgaYr5qhJ5s5buvILQpA==" saltValue="0SwheJmtTV4DRx/Mpase5Q==" spinCount="100000" sheet="1" selectLockedCells="1"/>
  <mergeCells count="47">
    <mergeCell ref="AD10:AD14"/>
    <mergeCell ref="T9:T10"/>
    <mergeCell ref="AA23:AB23"/>
    <mergeCell ref="J1:L1"/>
    <mergeCell ref="B7:D7"/>
    <mergeCell ref="B10:D10"/>
    <mergeCell ref="B2:L2"/>
    <mergeCell ref="W3:AD3"/>
    <mergeCell ref="W4:AD4"/>
    <mergeCell ref="W10:Y10"/>
    <mergeCell ref="W6:Z6"/>
    <mergeCell ref="W7:Y7"/>
    <mergeCell ref="W9:Z9"/>
    <mergeCell ref="B3:L3"/>
    <mergeCell ref="B4:L4"/>
    <mergeCell ref="U9:U10"/>
    <mergeCell ref="R9:S9"/>
    <mergeCell ref="W14:Y14"/>
    <mergeCell ref="I34:L34"/>
    <mergeCell ref="A6:A29"/>
    <mergeCell ref="B6:E6"/>
    <mergeCell ref="B9:E9"/>
    <mergeCell ref="G9:J9"/>
    <mergeCell ref="C34:D34"/>
    <mergeCell ref="B22:H22"/>
    <mergeCell ref="B23:E23"/>
    <mergeCell ref="F23:G23"/>
    <mergeCell ref="B27:G27"/>
    <mergeCell ref="B26:G26"/>
    <mergeCell ref="B25:F25"/>
    <mergeCell ref="B24:G24"/>
    <mergeCell ref="M4:M29"/>
    <mergeCell ref="B31:C31"/>
    <mergeCell ref="F31:G31"/>
    <mergeCell ref="J27:K27"/>
    <mergeCell ref="J28:K28"/>
    <mergeCell ref="J29:K29"/>
    <mergeCell ref="K9:L9"/>
    <mergeCell ref="K10:L13"/>
    <mergeCell ref="F16:G16"/>
    <mergeCell ref="F17:G17"/>
    <mergeCell ref="B29:F29"/>
    <mergeCell ref="C16:E17"/>
    <mergeCell ref="B28:G28"/>
    <mergeCell ref="J22:L22"/>
    <mergeCell ref="J23:K23"/>
    <mergeCell ref="J24:K24"/>
  </mergeCells>
  <hyperlinks>
    <hyperlink ref="I34" r:id="rId1" xr:uid="{00000000-0004-0000-0000-000000000000}"/>
    <hyperlink ref="J1" r:id="rId2" xr:uid="{00000000-0004-0000-0000-000001000000}"/>
    <hyperlink ref="C34" r:id="rId3" xr:uid="{00000000-0004-0000-0000-000002000000}"/>
  </hyperlinks>
  <pageMargins left="0.51181102362204722" right="0.39370078740157483" top="0.78740157480314965" bottom="0.78740157480314965" header="0.31496062992125984" footer="0.31496062992125984"/>
  <pageSetup paperSize="9" scale="8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Simulação Cálculo INSS e IRRF</vt:lpstr>
      <vt:lpstr>'Simulação Cálculo INSS e IRRF'!Area_de_impressao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User;Prof. Fagner C. Aguiar</dc:creator>
  <cp:lastModifiedBy>Lc-22</cp:lastModifiedBy>
  <cp:lastPrinted>2023-01-12T03:50:49Z</cp:lastPrinted>
  <dcterms:created xsi:type="dcterms:W3CDTF">2020-03-28T02:56:20Z</dcterms:created>
  <dcterms:modified xsi:type="dcterms:W3CDTF">2023-01-12T11:27:47Z</dcterms:modified>
</cp:coreProperties>
</file>